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школы апрель 2013 г." sheetId="1" r:id="rId1"/>
    <sheet name="ДОУ апрель 2013" sheetId="2" r:id="rId2"/>
    <sheet name="доп. апрель 2013 " sheetId="3" r:id="rId3"/>
  </sheets>
  <definedNames>
    <definedName name="_xlnm.Print_Titles" localSheetId="2">'доп. апрель 2013 '!$A:$A</definedName>
    <definedName name="_xlnm.Print_Titles" localSheetId="1">'ДОУ апрель 2013'!$A:$A</definedName>
    <definedName name="_xlnm.Print_Titles" localSheetId="0">'школы апрель 2013 г.'!$A:$A</definedName>
  </definedNames>
  <calcPr calcId="144525"/>
</workbook>
</file>

<file path=xl/calcChain.xml><?xml version="1.0" encoding="utf-8"?>
<calcChain xmlns="http://schemas.openxmlformats.org/spreadsheetml/2006/main">
  <c r="B5" i="3" l="1"/>
  <c r="F5" i="3"/>
  <c r="G5" i="3"/>
  <c r="B6" i="3"/>
  <c r="F6" i="3"/>
  <c r="G6" i="3"/>
  <c r="B7" i="3"/>
  <c r="B10" i="3" s="1"/>
  <c r="D7" i="3"/>
  <c r="F7" i="3"/>
  <c r="G7" i="3"/>
  <c r="B8" i="3"/>
  <c r="F8" i="3"/>
  <c r="G8" i="3"/>
  <c r="B9" i="3"/>
  <c r="F9" i="3"/>
  <c r="G9" i="3" s="1"/>
  <c r="D10" i="3"/>
  <c r="F10" i="3" s="1"/>
  <c r="E10" i="3"/>
  <c r="C10" i="3" l="1"/>
  <c r="G10" i="3" s="1"/>
  <c r="B5" i="2"/>
  <c r="C14" i="2" s="1"/>
  <c r="D5" i="2"/>
  <c r="F5" i="2"/>
  <c r="G5" i="2" s="1"/>
  <c r="B6" i="2"/>
  <c r="F6" i="2"/>
  <c r="G6" i="2"/>
  <c r="B7" i="2"/>
  <c r="F7" i="2"/>
  <c r="G7" i="2" s="1"/>
  <c r="B8" i="2"/>
  <c r="F8" i="2"/>
  <c r="G8" i="2"/>
  <c r="B9" i="2"/>
  <c r="F9" i="2"/>
  <c r="G9" i="2" s="1"/>
  <c r="B10" i="2"/>
  <c r="F10" i="2"/>
  <c r="G10" i="2"/>
  <c r="B11" i="2"/>
  <c r="F11" i="2"/>
  <c r="G11" i="2" s="1"/>
  <c r="B12" i="2"/>
  <c r="F12" i="2"/>
  <c r="G12" i="2"/>
  <c r="B13" i="2"/>
  <c r="F13" i="2"/>
  <c r="G13" i="2" s="1"/>
  <c r="B14" i="2"/>
  <c r="D14" i="2"/>
  <c r="F14" i="2" s="1"/>
  <c r="G14" i="2" s="1"/>
  <c r="E14" i="2"/>
  <c r="L28" i="1" l="1"/>
  <c r="I28" i="1"/>
  <c r="H28" i="1"/>
  <c r="E28" i="1"/>
  <c r="C28" i="1"/>
  <c r="G26" i="1"/>
  <c r="K26" i="1" s="1"/>
  <c r="B26" i="1"/>
  <c r="G25" i="1"/>
  <c r="K25" i="1" s="1"/>
  <c r="B25" i="1"/>
  <c r="G24" i="1"/>
  <c r="K24" i="1" s="1"/>
  <c r="B24" i="1"/>
  <c r="F23" i="1"/>
  <c r="G23" i="1" s="1"/>
  <c r="B23" i="1"/>
  <c r="G22" i="1"/>
  <c r="J22" i="1" s="1"/>
  <c r="B22" i="1"/>
  <c r="G21" i="1"/>
  <c r="J21" i="1" s="1"/>
  <c r="B21" i="1"/>
  <c r="G20" i="1"/>
  <c r="J20" i="1" s="1"/>
  <c r="B20" i="1"/>
  <c r="G19" i="1"/>
  <c r="J19" i="1" s="1"/>
  <c r="B19" i="1"/>
  <c r="G18" i="1"/>
  <c r="J18" i="1" s="1"/>
  <c r="B18" i="1"/>
  <c r="G17" i="1"/>
  <c r="J17" i="1" s="1"/>
  <c r="B17" i="1"/>
  <c r="G16" i="1"/>
  <c r="J16" i="1" s="1"/>
  <c r="B16" i="1"/>
  <c r="G15" i="1"/>
  <c r="J15" i="1" s="1"/>
  <c r="B15" i="1"/>
  <c r="G14" i="1"/>
  <c r="J14" i="1" s="1"/>
  <c r="B14" i="1"/>
  <c r="G13" i="1"/>
  <c r="J13" i="1" s="1"/>
  <c r="B13" i="1"/>
  <c r="G12" i="1"/>
  <c r="J12" i="1" s="1"/>
  <c r="B12" i="1"/>
  <c r="G11" i="1"/>
  <c r="J11" i="1" s="1"/>
  <c r="B11" i="1"/>
  <c r="G10" i="1"/>
  <c r="J10" i="1" s="1"/>
  <c r="B10" i="1"/>
  <c r="G9" i="1"/>
  <c r="J9" i="1" s="1"/>
  <c r="B9" i="1"/>
  <c r="G8" i="1"/>
  <c r="J8" i="1" s="1"/>
  <c r="B8" i="1"/>
  <c r="G7" i="1"/>
  <c r="J7" i="1" s="1"/>
  <c r="B7" i="1"/>
  <c r="G6" i="1"/>
  <c r="J6" i="1" s="1"/>
  <c r="F6" i="1"/>
  <c r="F28" i="1" s="1"/>
  <c r="G28" i="1" s="1"/>
  <c r="J25" i="1" l="1"/>
  <c r="J24" i="1"/>
  <c r="J28" i="1"/>
  <c r="K23" i="1"/>
  <c r="J23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J26" i="1"/>
  <c r="B28" i="1"/>
  <c r="D28" i="1" s="1"/>
  <c r="K28" i="1" s="1"/>
</calcChain>
</file>

<file path=xl/sharedStrings.xml><?xml version="1.0" encoding="utf-8"?>
<sst xmlns="http://schemas.openxmlformats.org/spreadsheetml/2006/main" count="74" uniqueCount="59">
  <si>
    <t>Анализ средней заработной платы по общеобразовательным учреждениям за апрель 2013 года</t>
  </si>
  <si>
    <t>Наименование учреждения</t>
  </si>
  <si>
    <t>Плановое значение показателей</t>
  </si>
  <si>
    <t>Фактическое значение показателей</t>
  </si>
  <si>
    <t>Отклонение фактически начисленной заработной платы  от установленного уровня (без учета стипендии), %</t>
  </si>
  <si>
    <t>Количество молодых учителей, чел.</t>
  </si>
  <si>
    <t xml:space="preserve">количество педработников </t>
  </si>
  <si>
    <t>количество учителей</t>
  </si>
  <si>
    <t xml:space="preserve"> уровень средней заработной платы, рублей </t>
  </si>
  <si>
    <t xml:space="preserve"> количество педработников</t>
  </si>
  <si>
    <t xml:space="preserve"> ФОТ, рублей</t>
  </si>
  <si>
    <t xml:space="preserve">Средняя заработная плата, рублей </t>
  </si>
  <si>
    <t>Стипендия по молодым учителям, рублей</t>
  </si>
  <si>
    <t xml:space="preserve"> средняя заработная плата  с учетом стипендии, рублей</t>
  </si>
  <si>
    <t>МБОУ "СОШ № 2"</t>
  </si>
  <si>
    <t>МБОУ "СОШ № 4"</t>
  </si>
  <si>
    <t>МБОУ "СОШ № 5"</t>
  </si>
  <si>
    <t>МБОУ "СОШ № 7"</t>
  </si>
  <si>
    <t>МБОУ "Тогурская СОШ"</t>
  </si>
  <si>
    <t>МБОУ "Тогурская НОШ"</t>
  </si>
  <si>
    <t>МБОУ "Чажемтовская СОШ"</t>
  </si>
  <si>
    <t>МКОУ "Новоильинская НОШ"</t>
  </si>
  <si>
    <t>МБОУ "Озеренская СОШ"</t>
  </si>
  <si>
    <t xml:space="preserve">МКОУ "Старо-Короткинская ООШ" </t>
  </si>
  <si>
    <t xml:space="preserve">МКОУ "Тискинская ООШ" </t>
  </si>
  <si>
    <t xml:space="preserve">МКОУ "Копыловская  ООШ" </t>
  </si>
  <si>
    <t xml:space="preserve">МБОУ "Новоселовская СОШ" </t>
  </si>
  <si>
    <t xml:space="preserve">МКОУ "Куржинская ООШ" </t>
  </si>
  <si>
    <t xml:space="preserve">МКОУ "Моховская ООШ" </t>
  </si>
  <si>
    <t>МКОУ "Мараксинская ООШ"</t>
  </si>
  <si>
    <t xml:space="preserve">МБОУ "Саровская СОШ" </t>
  </si>
  <si>
    <t xml:space="preserve">МАОУ "Новогоренская СОШ" </t>
  </si>
  <si>
    <t>МКОУ "Дальненская ООШ"</t>
  </si>
  <si>
    <t>МБОУ "Инкинская СОШ"</t>
  </si>
  <si>
    <t xml:space="preserve">МКОУ "ОСОШ" </t>
  </si>
  <si>
    <t>Итого</t>
  </si>
  <si>
    <t>Средняя заработная плата за 1 кв.</t>
  </si>
  <si>
    <t>МБДОУ "Чажемтовский детский сад"</t>
  </si>
  <si>
    <t>МБДОУ "Озеренский детский сад"</t>
  </si>
  <si>
    <t>МБДОУ ЦРР д/с "Золотой ключик"</t>
  </si>
  <si>
    <t>МБДОУ № 20</t>
  </si>
  <si>
    <t>МБДОУ № 19</t>
  </si>
  <si>
    <t>МБДОУ № 17</t>
  </si>
  <si>
    <t>МБДОУ № 14</t>
  </si>
  <si>
    <t>МБДОУ № 9</t>
  </si>
  <si>
    <t>МБДОУ № 3</t>
  </si>
  <si>
    <t>средняя заработная плата, рублей</t>
  </si>
  <si>
    <t>количество пед.работников</t>
  </si>
  <si>
    <t>ФОТ, рублей</t>
  </si>
  <si>
    <t>уровень средней заработной платы</t>
  </si>
  <si>
    <t>Отклонение %</t>
  </si>
  <si>
    <t>Средняя заработная плата по дошкольным образовательным учреждениям за апрель 2013 г.</t>
  </si>
  <si>
    <t>МАОУ ДОД "ДЮСШ им.О.Рахматулиной"</t>
  </si>
  <si>
    <t xml:space="preserve">МБОУ ДОД "ДШИ с.Тогур" </t>
  </si>
  <si>
    <t>МБОУ ДОД "ДШИ" г.Колпашево"</t>
  </si>
  <si>
    <t>МБОУ ДОД " ДЮЦ"</t>
  </si>
  <si>
    <t>МБОУ ДОД "ДЭБЦ"</t>
  </si>
  <si>
    <t>уровень средней заработной платы, рублей</t>
  </si>
  <si>
    <t>Средняя заработная плата по учреждениям дополнительного образования за апрель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</si>
</sst>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ill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7" fillId="0" borderId="6" xfId="0" applyFont="1" applyFill="1" applyBorder="1" applyAlignment="1">
      <alignment wrapText="1"/>
    </xf>
    <xf numFmtId="0" fontId="5" fillId="0" borderId="5" xfId="0" applyFont="1" applyFill="1" applyBorder="1"/>
    <xf numFmtId="1" fontId="9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0" fontId="10" fillId="0" borderId="5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1" xfId="0" applyBorder="1"/>
    <xf numFmtId="164" fontId="0" fillId="0" borderId="0" xfId="0" applyNumberFormat="1" applyFill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164" fontId="12" fillId="0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25C0"/>
  </sheetPr>
  <dimension ref="A1:O30"/>
  <sheetViews>
    <sheetView tabSelected="1" topLeftCell="A3" zoomScale="90" zoomScaleNormal="90" workbookViewId="0">
      <pane xSplit="1" ySplit="3" topLeftCell="F6" activePane="bottomRight" state="frozen"/>
      <selection activeCell="A3" sqref="A3"/>
      <selection pane="topRight" activeCell="B3" sqref="B3"/>
      <selection pane="bottomLeft" activeCell="A6" sqref="A6"/>
      <selection pane="bottomRight" activeCell="G28" sqref="G28"/>
    </sheetView>
  </sheetViews>
  <sheetFormatPr defaultColWidth="31.42578125" defaultRowHeight="15" x14ac:dyDescent="0.25"/>
  <cols>
    <col min="1" max="1" width="34.7109375" customWidth="1"/>
    <col min="2" max="2" width="11.5703125" customWidth="1"/>
    <col min="3" max="3" width="13.85546875" customWidth="1"/>
    <col min="4" max="4" width="15.42578125" customWidth="1"/>
    <col min="5" max="5" width="15.140625" customWidth="1"/>
    <col min="6" max="6" width="13.28515625" customWidth="1"/>
    <col min="7" max="7" width="13.140625" style="2" customWidth="1"/>
    <col min="8" max="8" width="13.42578125" style="2" customWidth="1"/>
    <col min="9" max="9" width="14.42578125" customWidth="1"/>
    <col min="10" max="10" width="15.7109375" customWidth="1"/>
    <col min="11" max="11" width="15.85546875" customWidth="1"/>
    <col min="12" max="12" width="13.7109375" customWidth="1"/>
    <col min="13" max="13" width="11.42578125" customWidth="1"/>
    <col min="14" max="14" width="11.7109375" customWidth="1"/>
    <col min="15" max="221" width="9.140625" customWidth="1"/>
  </cols>
  <sheetData>
    <row r="1" spans="1:15" ht="24.75" customHeigh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5" ht="12.75" customHeight="1" x14ac:dyDescent="0.3">
      <c r="A2" s="1"/>
      <c r="B2" s="1"/>
      <c r="C2" s="1"/>
      <c r="D2" s="1"/>
      <c r="E2" s="1"/>
      <c r="F2" s="1"/>
    </row>
    <row r="4" spans="1:15" ht="37.5" customHeight="1" x14ac:dyDescent="0.25">
      <c r="A4" s="38" t="s">
        <v>1</v>
      </c>
      <c r="B4" s="39" t="s">
        <v>2</v>
      </c>
      <c r="C4" s="39"/>
      <c r="D4" s="39"/>
      <c r="E4" s="39" t="s">
        <v>3</v>
      </c>
      <c r="F4" s="39"/>
      <c r="G4" s="39"/>
      <c r="H4" s="39"/>
      <c r="I4" s="39"/>
      <c r="J4" s="39"/>
      <c r="K4" s="40" t="s">
        <v>4</v>
      </c>
      <c r="L4" s="42" t="s">
        <v>5</v>
      </c>
    </row>
    <row r="5" spans="1:15" ht="111" customHeight="1" x14ac:dyDescent="0.25">
      <c r="A5" s="38"/>
      <c r="B5" s="3" t="s">
        <v>6</v>
      </c>
      <c r="C5" s="3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3" t="s">
        <v>7</v>
      </c>
      <c r="I5" s="3" t="s">
        <v>12</v>
      </c>
      <c r="J5" s="3" t="s">
        <v>13</v>
      </c>
      <c r="K5" s="41"/>
      <c r="L5" s="43"/>
    </row>
    <row r="6" spans="1:15" s="2" customFormat="1" ht="15.75" x14ac:dyDescent="0.25">
      <c r="A6" s="5" t="s">
        <v>14</v>
      </c>
      <c r="B6" s="6">
        <v>69</v>
      </c>
      <c r="C6" s="6">
        <v>47</v>
      </c>
      <c r="D6" s="6">
        <v>37822</v>
      </c>
      <c r="E6" s="6">
        <v>68</v>
      </c>
      <c r="F6" s="6">
        <f>2571884+986</f>
        <v>2572870</v>
      </c>
      <c r="G6" s="6">
        <f>F6/E6</f>
        <v>37836.323529411762</v>
      </c>
      <c r="H6" s="6">
        <v>46</v>
      </c>
      <c r="I6" s="6">
        <v>3000</v>
      </c>
      <c r="J6" s="6">
        <f>G6+I6/H6</f>
        <v>37901.540920716106</v>
      </c>
      <c r="K6" s="7">
        <f t="shared" ref="K6:K26" si="0">G6/D6*100-100</f>
        <v>3.7870893690865159E-2</v>
      </c>
      <c r="L6" s="8">
        <v>1</v>
      </c>
    </row>
    <row r="7" spans="1:15" s="11" customFormat="1" ht="15.75" x14ac:dyDescent="0.25">
      <c r="A7" s="9" t="s">
        <v>15</v>
      </c>
      <c r="B7" s="6">
        <f>168/3</f>
        <v>56</v>
      </c>
      <c r="C7" s="6">
        <v>33</v>
      </c>
      <c r="D7" s="6">
        <v>37151</v>
      </c>
      <c r="E7" s="6">
        <v>56</v>
      </c>
      <c r="F7" s="6">
        <v>2080459</v>
      </c>
      <c r="G7" s="6">
        <f t="shared" ref="G7:G28" si="1">F7/E7</f>
        <v>37151.053571428572</v>
      </c>
      <c r="H7" s="6">
        <v>33</v>
      </c>
      <c r="I7" s="6">
        <v>6000</v>
      </c>
      <c r="J7" s="6">
        <f t="shared" ref="J7:J26" si="2">G7+I7/H7</f>
        <v>37332.871753246756</v>
      </c>
      <c r="K7" s="7">
        <f t="shared" si="0"/>
        <v>1.4419915635244251E-4</v>
      </c>
      <c r="L7" s="10">
        <v>2</v>
      </c>
      <c r="M7" s="2"/>
      <c r="N7" s="2"/>
      <c r="O7" s="2"/>
    </row>
    <row r="8" spans="1:15" s="11" customFormat="1" ht="15.75" x14ac:dyDescent="0.25">
      <c r="A8" s="9" t="s">
        <v>16</v>
      </c>
      <c r="B8" s="6">
        <f>108/3</f>
        <v>36</v>
      </c>
      <c r="C8" s="6">
        <v>33</v>
      </c>
      <c r="D8" s="6">
        <v>42228</v>
      </c>
      <c r="E8" s="6">
        <v>36</v>
      </c>
      <c r="F8" s="6">
        <v>1520208</v>
      </c>
      <c r="G8" s="6">
        <f t="shared" si="1"/>
        <v>42228</v>
      </c>
      <c r="H8" s="6">
        <v>33</v>
      </c>
      <c r="I8" s="6"/>
      <c r="J8" s="6">
        <f t="shared" si="2"/>
        <v>42228</v>
      </c>
      <c r="K8" s="7">
        <f t="shared" si="0"/>
        <v>0</v>
      </c>
      <c r="L8" s="10"/>
      <c r="M8" s="2"/>
      <c r="N8" s="2"/>
      <c r="O8" s="2"/>
    </row>
    <row r="9" spans="1:15" s="11" customFormat="1" ht="15.75" x14ac:dyDescent="0.25">
      <c r="A9" s="9" t="s">
        <v>17</v>
      </c>
      <c r="B9" s="6">
        <f>225/3</f>
        <v>75</v>
      </c>
      <c r="C9" s="6">
        <v>55</v>
      </c>
      <c r="D9" s="6">
        <v>40335</v>
      </c>
      <c r="E9" s="6">
        <v>75</v>
      </c>
      <c r="F9" s="6">
        <v>3025125</v>
      </c>
      <c r="G9" s="6">
        <f t="shared" si="1"/>
        <v>40335</v>
      </c>
      <c r="H9" s="6">
        <v>55</v>
      </c>
      <c r="I9" s="6">
        <v>12000</v>
      </c>
      <c r="J9" s="6">
        <f t="shared" si="2"/>
        <v>40553.181818181816</v>
      </c>
      <c r="K9" s="7">
        <f t="shared" si="0"/>
        <v>0</v>
      </c>
      <c r="L9" s="10">
        <v>5</v>
      </c>
      <c r="M9" s="2"/>
      <c r="N9" s="2"/>
      <c r="O9" s="2"/>
    </row>
    <row r="10" spans="1:15" s="11" customFormat="1" ht="15.75" x14ac:dyDescent="0.25">
      <c r="A10" s="9" t="s">
        <v>18</v>
      </c>
      <c r="B10" s="6">
        <f>165/3</f>
        <v>55</v>
      </c>
      <c r="C10" s="6">
        <v>51</v>
      </c>
      <c r="D10" s="6">
        <v>34636</v>
      </c>
      <c r="E10" s="6">
        <v>55</v>
      </c>
      <c r="F10" s="6">
        <v>1904980</v>
      </c>
      <c r="G10" s="6">
        <f t="shared" si="1"/>
        <v>34636</v>
      </c>
      <c r="H10" s="6">
        <v>51</v>
      </c>
      <c r="I10" s="6">
        <v>4000</v>
      </c>
      <c r="J10" s="6">
        <f t="shared" si="2"/>
        <v>34714.431372549021</v>
      </c>
      <c r="K10" s="7">
        <f t="shared" si="0"/>
        <v>0</v>
      </c>
      <c r="L10" s="10">
        <v>1</v>
      </c>
      <c r="M10" s="2"/>
      <c r="N10" s="2"/>
      <c r="O10" s="2"/>
    </row>
    <row r="11" spans="1:15" s="2" customFormat="1" ht="15.75" x14ac:dyDescent="0.25">
      <c r="A11" s="5" t="s">
        <v>19</v>
      </c>
      <c r="B11" s="6">
        <f>99/3</f>
        <v>33</v>
      </c>
      <c r="C11" s="6">
        <v>25</v>
      </c>
      <c r="D11" s="6">
        <v>44649</v>
      </c>
      <c r="E11" s="6">
        <v>33</v>
      </c>
      <c r="F11" s="6">
        <v>1473418</v>
      </c>
      <c r="G11" s="6">
        <f t="shared" si="1"/>
        <v>44649.030303030304</v>
      </c>
      <c r="H11" s="6">
        <v>25</v>
      </c>
      <c r="I11" s="6">
        <v>4000</v>
      </c>
      <c r="J11" s="6">
        <f t="shared" si="2"/>
        <v>44809.030303030304</v>
      </c>
      <c r="K11" s="7">
        <f t="shared" si="0"/>
        <v>6.7869449040358631E-5</v>
      </c>
      <c r="L11" s="8">
        <v>1</v>
      </c>
    </row>
    <row r="12" spans="1:15" s="11" customFormat="1" ht="16.5" customHeight="1" x14ac:dyDescent="0.25">
      <c r="A12" s="12" t="s">
        <v>20</v>
      </c>
      <c r="B12" s="6">
        <f>111/3</f>
        <v>37</v>
      </c>
      <c r="C12" s="6">
        <v>33</v>
      </c>
      <c r="D12" s="6">
        <v>41189</v>
      </c>
      <c r="E12" s="6">
        <v>37</v>
      </c>
      <c r="F12" s="6">
        <v>1523993</v>
      </c>
      <c r="G12" s="6">
        <f t="shared" si="1"/>
        <v>41189</v>
      </c>
      <c r="H12" s="6">
        <v>33</v>
      </c>
      <c r="I12" s="6">
        <v>6000</v>
      </c>
      <c r="J12" s="6">
        <f t="shared" si="2"/>
        <v>41370.818181818184</v>
      </c>
      <c r="K12" s="7">
        <f t="shared" si="0"/>
        <v>0</v>
      </c>
      <c r="L12" s="10">
        <v>1</v>
      </c>
      <c r="M12" s="2"/>
      <c r="N12" s="2"/>
      <c r="O12" s="2"/>
    </row>
    <row r="13" spans="1:15" s="11" customFormat="1" ht="15.75" x14ac:dyDescent="0.25">
      <c r="A13" s="9" t="s">
        <v>21</v>
      </c>
      <c r="B13" s="6">
        <f>6/3</f>
        <v>2</v>
      </c>
      <c r="C13" s="6">
        <v>2</v>
      </c>
      <c r="D13" s="6">
        <v>38086</v>
      </c>
      <c r="E13" s="6">
        <v>2</v>
      </c>
      <c r="F13" s="6">
        <v>76172</v>
      </c>
      <c r="G13" s="6">
        <f t="shared" si="1"/>
        <v>38086</v>
      </c>
      <c r="H13" s="6">
        <v>2</v>
      </c>
      <c r="I13" s="6"/>
      <c r="J13" s="6">
        <f t="shared" si="2"/>
        <v>38086</v>
      </c>
      <c r="K13" s="7">
        <f t="shared" si="0"/>
        <v>0</v>
      </c>
      <c r="L13" s="10"/>
      <c r="M13" s="2"/>
      <c r="N13" s="2"/>
      <c r="O13" s="2"/>
    </row>
    <row r="14" spans="1:15" s="2" customFormat="1" ht="15.75" x14ac:dyDescent="0.25">
      <c r="A14" s="13" t="s">
        <v>22</v>
      </c>
      <c r="B14" s="6">
        <f>42/3</f>
        <v>14</v>
      </c>
      <c r="C14" s="6">
        <v>14</v>
      </c>
      <c r="D14" s="6">
        <v>32107</v>
      </c>
      <c r="E14" s="6">
        <v>14</v>
      </c>
      <c r="F14" s="6">
        <v>449494</v>
      </c>
      <c r="G14" s="6">
        <f t="shared" si="1"/>
        <v>32106.714285714286</v>
      </c>
      <c r="H14" s="6">
        <v>14</v>
      </c>
      <c r="I14" s="6"/>
      <c r="J14" s="6">
        <f t="shared" si="2"/>
        <v>32106.714285714286</v>
      </c>
      <c r="K14" s="7">
        <f t="shared" si="0"/>
        <v>-8.8988160125325066E-4</v>
      </c>
      <c r="L14" s="8"/>
    </row>
    <row r="15" spans="1:15" s="2" customFormat="1" ht="15.75" x14ac:dyDescent="0.25">
      <c r="A15" s="5" t="s">
        <v>23</v>
      </c>
      <c r="B15" s="6">
        <f>24/3</f>
        <v>8</v>
      </c>
      <c r="C15" s="6">
        <v>8</v>
      </c>
      <c r="D15" s="6">
        <v>32138</v>
      </c>
      <c r="E15" s="6">
        <v>8</v>
      </c>
      <c r="F15" s="6">
        <v>257104</v>
      </c>
      <c r="G15" s="6">
        <f t="shared" si="1"/>
        <v>32138</v>
      </c>
      <c r="H15" s="6">
        <v>8</v>
      </c>
      <c r="I15" s="6">
        <v>4000</v>
      </c>
      <c r="J15" s="6">
        <f t="shared" si="2"/>
        <v>32638</v>
      </c>
      <c r="K15" s="7">
        <f t="shared" si="0"/>
        <v>0</v>
      </c>
      <c r="L15" s="8">
        <v>1</v>
      </c>
    </row>
    <row r="16" spans="1:15" s="2" customFormat="1" ht="15.75" x14ac:dyDescent="0.25">
      <c r="A16" s="5" t="s">
        <v>24</v>
      </c>
      <c r="B16" s="6">
        <f>12/3</f>
        <v>4</v>
      </c>
      <c r="C16" s="6">
        <v>4</v>
      </c>
      <c r="D16" s="6">
        <v>27155</v>
      </c>
      <c r="E16" s="6">
        <v>4</v>
      </c>
      <c r="F16" s="6">
        <v>108620</v>
      </c>
      <c r="G16" s="6">
        <f t="shared" si="1"/>
        <v>27155</v>
      </c>
      <c r="H16" s="6">
        <v>4</v>
      </c>
      <c r="I16" s="6">
        <v>4000</v>
      </c>
      <c r="J16" s="6">
        <f t="shared" si="2"/>
        <v>28155</v>
      </c>
      <c r="K16" s="7">
        <f t="shared" si="0"/>
        <v>0</v>
      </c>
      <c r="L16" s="8">
        <v>1</v>
      </c>
    </row>
    <row r="17" spans="1:15" s="2" customFormat="1" ht="15.75" x14ac:dyDescent="0.25">
      <c r="A17" s="9" t="s">
        <v>25</v>
      </c>
      <c r="B17" s="6">
        <f>18/3</f>
        <v>6</v>
      </c>
      <c r="C17" s="6">
        <v>6</v>
      </c>
      <c r="D17" s="6">
        <v>32057</v>
      </c>
      <c r="E17" s="6">
        <v>6</v>
      </c>
      <c r="F17" s="6">
        <v>192341</v>
      </c>
      <c r="G17" s="6">
        <f t="shared" si="1"/>
        <v>32056.833333333332</v>
      </c>
      <c r="H17" s="6">
        <v>6</v>
      </c>
      <c r="I17" s="6"/>
      <c r="J17" s="6">
        <f t="shared" si="2"/>
        <v>32056.833333333332</v>
      </c>
      <c r="K17" s="7">
        <f t="shared" si="0"/>
        <v>-5.1990724855954795E-4</v>
      </c>
      <c r="L17" s="8"/>
    </row>
    <row r="18" spans="1:15" s="11" customFormat="1" ht="15.75" x14ac:dyDescent="0.25">
      <c r="A18" s="9" t="s">
        <v>26</v>
      </c>
      <c r="B18" s="6">
        <f>48/3</f>
        <v>16</v>
      </c>
      <c r="C18" s="6">
        <v>15</v>
      </c>
      <c r="D18" s="6">
        <v>33785</v>
      </c>
      <c r="E18" s="6">
        <v>16</v>
      </c>
      <c r="F18" s="6">
        <v>540560</v>
      </c>
      <c r="G18" s="6">
        <f t="shared" si="1"/>
        <v>33785</v>
      </c>
      <c r="H18" s="6">
        <v>15</v>
      </c>
      <c r="I18" s="6"/>
      <c r="J18" s="6">
        <f t="shared" si="2"/>
        <v>33785</v>
      </c>
      <c r="K18" s="7">
        <f t="shared" si="0"/>
        <v>0</v>
      </c>
      <c r="L18" s="10"/>
      <c r="M18" s="2"/>
      <c r="N18" s="2"/>
      <c r="O18" s="2"/>
    </row>
    <row r="19" spans="1:15" s="2" customFormat="1" ht="15.75" x14ac:dyDescent="0.25">
      <c r="A19" s="5" t="s">
        <v>27</v>
      </c>
      <c r="B19" s="6">
        <f>15/3</f>
        <v>5</v>
      </c>
      <c r="C19" s="14">
        <v>5</v>
      </c>
      <c r="D19" s="6">
        <v>26502</v>
      </c>
      <c r="E19" s="6">
        <v>5</v>
      </c>
      <c r="F19" s="6">
        <v>132510</v>
      </c>
      <c r="G19" s="6">
        <f t="shared" si="1"/>
        <v>26502</v>
      </c>
      <c r="H19" s="14">
        <v>5</v>
      </c>
      <c r="I19" s="6"/>
      <c r="J19" s="6">
        <f t="shared" si="2"/>
        <v>26502</v>
      </c>
      <c r="K19" s="7">
        <f t="shared" si="0"/>
        <v>0</v>
      </c>
      <c r="L19" s="8"/>
    </row>
    <row r="20" spans="1:15" s="11" customFormat="1" ht="15.75" x14ac:dyDescent="0.25">
      <c r="A20" s="9" t="s">
        <v>28</v>
      </c>
      <c r="B20" s="6">
        <f>12/3</f>
        <v>4</v>
      </c>
      <c r="C20" s="6">
        <v>4</v>
      </c>
      <c r="D20" s="6">
        <v>25477</v>
      </c>
      <c r="E20" s="6">
        <v>4</v>
      </c>
      <c r="F20" s="6">
        <v>101908</v>
      </c>
      <c r="G20" s="6">
        <f t="shared" si="1"/>
        <v>25477</v>
      </c>
      <c r="H20" s="6">
        <v>4</v>
      </c>
      <c r="I20" s="6"/>
      <c r="J20" s="6">
        <f t="shared" si="2"/>
        <v>25477</v>
      </c>
      <c r="K20" s="7">
        <f t="shared" si="0"/>
        <v>0</v>
      </c>
      <c r="L20" s="10"/>
      <c r="M20" s="2"/>
      <c r="N20" s="2"/>
      <c r="O20" s="2"/>
    </row>
    <row r="21" spans="1:15" s="11" customFormat="1" ht="15.75" x14ac:dyDescent="0.25">
      <c r="A21" s="9" t="s">
        <v>29</v>
      </c>
      <c r="B21" s="6">
        <f>42/3</f>
        <v>14</v>
      </c>
      <c r="C21" s="6">
        <v>9</v>
      </c>
      <c r="D21" s="6">
        <v>28508</v>
      </c>
      <c r="E21" s="6">
        <v>14</v>
      </c>
      <c r="F21" s="6">
        <v>399107</v>
      </c>
      <c r="G21" s="6">
        <f t="shared" si="1"/>
        <v>28507.642857142859</v>
      </c>
      <c r="H21" s="6">
        <v>9</v>
      </c>
      <c r="I21" s="6"/>
      <c r="J21" s="6">
        <f t="shared" si="2"/>
        <v>28507.642857142859</v>
      </c>
      <c r="K21" s="7">
        <f t="shared" si="0"/>
        <v>-1.2527811742018002E-3</v>
      </c>
      <c r="L21" s="10"/>
      <c r="M21" s="2"/>
      <c r="N21" s="2"/>
      <c r="O21" s="2"/>
    </row>
    <row r="22" spans="1:15" s="2" customFormat="1" ht="15.75" x14ac:dyDescent="0.25">
      <c r="A22" s="9" t="s">
        <v>30</v>
      </c>
      <c r="B22" s="6">
        <f>51/3</f>
        <v>17</v>
      </c>
      <c r="C22" s="6">
        <v>13</v>
      </c>
      <c r="D22" s="6">
        <v>27408</v>
      </c>
      <c r="E22" s="6">
        <v>17</v>
      </c>
      <c r="F22" s="6">
        <v>465936</v>
      </c>
      <c r="G22" s="6">
        <f t="shared" si="1"/>
        <v>27408</v>
      </c>
      <c r="H22" s="6">
        <v>13</v>
      </c>
      <c r="I22" s="6">
        <v>4000</v>
      </c>
      <c r="J22" s="6">
        <f t="shared" si="2"/>
        <v>27715.692307692309</v>
      </c>
      <c r="K22" s="7">
        <f t="shared" si="0"/>
        <v>0</v>
      </c>
      <c r="L22" s="8">
        <v>1</v>
      </c>
    </row>
    <row r="23" spans="1:15" s="2" customFormat="1" ht="15.75" x14ac:dyDescent="0.25">
      <c r="A23" s="5" t="s">
        <v>31</v>
      </c>
      <c r="B23" s="6">
        <f>39/3</f>
        <v>13</v>
      </c>
      <c r="C23" s="6">
        <v>12</v>
      </c>
      <c r="D23" s="6">
        <v>30317</v>
      </c>
      <c r="E23" s="6">
        <v>13</v>
      </c>
      <c r="F23" s="6">
        <f>390966+3159</f>
        <v>394125</v>
      </c>
      <c r="G23" s="6">
        <f>F23/E23</f>
        <v>30317.307692307691</v>
      </c>
      <c r="H23" s="6">
        <v>12</v>
      </c>
      <c r="I23" s="6"/>
      <c r="J23" s="6">
        <f t="shared" si="2"/>
        <v>30317.307692307691</v>
      </c>
      <c r="K23" s="7">
        <f t="shared" si="0"/>
        <v>1.0149167387680791E-3</v>
      </c>
      <c r="L23" s="8"/>
    </row>
    <row r="24" spans="1:15" s="11" customFormat="1" ht="15.75" x14ac:dyDescent="0.25">
      <c r="A24" s="9" t="s">
        <v>32</v>
      </c>
      <c r="B24" s="6">
        <f>18/3</f>
        <v>6</v>
      </c>
      <c r="C24" s="6">
        <v>6</v>
      </c>
      <c r="D24" s="6">
        <v>34146</v>
      </c>
      <c r="E24" s="6">
        <v>6</v>
      </c>
      <c r="F24" s="6">
        <v>204876</v>
      </c>
      <c r="G24" s="6">
        <f t="shared" si="1"/>
        <v>34146</v>
      </c>
      <c r="H24" s="6">
        <v>6</v>
      </c>
      <c r="I24" s="6"/>
      <c r="J24" s="6">
        <f t="shared" si="2"/>
        <v>34146</v>
      </c>
      <c r="K24" s="7">
        <f t="shared" si="0"/>
        <v>0</v>
      </c>
      <c r="L24" s="10"/>
      <c r="M24" s="2"/>
      <c r="N24" s="2"/>
      <c r="O24" s="2"/>
    </row>
    <row r="25" spans="1:15" s="2" customFormat="1" ht="15.75" x14ac:dyDescent="0.25">
      <c r="A25" s="5" t="s">
        <v>33</v>
      </c>
      <c r="B25" s="6">
        <f>45/3</f>
        <v>15</v>
      </c>
      <c r="C25" s="6">
        <v>14</v>
      </c>
      <c r="D25" s="6">
        <v>30760</v>
      </c>
      <c r="E25" s="6">
        <v>15</v>
      </c>
      <c r="F25" s="6">
        <v>461407</v>
      </c>
      <c r="G25" s="6">
        <f t="shared" si="1"/>
        <v>30760.466666666667</v>
      </c>
      <c r="H25" s="6">
        <v>14</v>
      </c>
      <c r="I25" s="6">
        <v>5000</v>
      </c>
      <c r="J25" s="6">
        <f t="shared" si="2"/>
        <v>31117.609523809526</v>
      </c>
      <c r="K25" s="7">
        <f t="shared" si="0"/>
        <v>1.5171218032037359E-3</v>
      </c>
      <c r="L25" s="8">
        <v>1</v>
      </c>
    </row>
    <row r="26" spans="1:15" s="2" customFormat="1" ht="15.75" x14ac:dyDescent="0.25">
      <c r="A26" s="5" t="s">
        <v>34</v>
      </c>
      <c r="B26" s="6">
        <f>27/3</f>
        <v>9</v>
      </c>
      <c r="C26" s="6">
        <v>7</v>
      </c>
      <c r="D26" s="6">
        <v>35146</v>
      </c>
      <c r="E26" s="6">
        <v>9</v>
      </c>
      <c r="F26" s="6">
        <v>316316</v>
      </c>
      <c r="G26" s="6">
        <f t="shared" si="1"/>
        <v>35146.222222222219</v>
      </c>
      <c r="H26" s="6">
        <v>7</v>
      </c>
      <c r="I26" s="6"/>
      <c r="J26" s="6">
        <f t="shared" si="2"/>
        <v>35146.222222222219</v>
      </c>
      <c r="K26" s="7">
        <f t="shared" si="0"/>
        <v>6.3228311107366153E-4</v>
      </c>
      <c r="L26" s="8"/>
    </row>
    <row r="27" spans="1:15" s="2" customFormat="1" x14ac:dyDescent="0.25">
      <c r="A27" s="15"/>
      <c r="B27" s="6"/>
      <c r="C27" s="6"/>
      <c r="D27" s="16"/>
      <c r="E27" s="16"/>
      <c r="F27" s="16"/>
      <c r="G27" s="7"/>
      <c r="H27" s="7"/>
      <c r="I27" s="7"/>
      <c r="J27" s="6"/>
      <c r="K27" s="7"/>
      <c r="L27" s="8"/>
    </row>
    <row r="28" spans="1:15" s="21" customFormat="1" ht="15.75" x14ac:dyDescent="0.25">
      <c r="A28" s="17" t="s">
        <v>35</v>
      </c>
      <c r="B28" s="18">
        <f>SUM(B6:B27)</f>
        <v>494</v>
      </c>
      <c r="C28" s="18">
        <f>SUM(C6:C26)</f>
        <v>396</v>
      </c>
      <c r="D28" s="18">
        <f>(B6*D6+B7*D7+B8*D8+B9*D9+B10*D10+B11*D11+B12*D12+B13*D13+B14*D14+B15*D15+B16*D16+B17*D17+B18*D18+B19*D19+B20*D20+B21*D21+B22*D22+B23*D23+B24*D24+B25*D25+B26*D26)/B28</f>
        <v>36919.777327935226</v>
      </c>
      <c r="E28" s="18">
        <f>SUM(E6:E27)</f>
        <v>493</v>
      </c>
      <c r="F28" s="18">
        <f>SUM(F6:F27)</f>
        <v>18201529</v>
      </c>
      <c r="G28" s="18">
        <f t="shared" si="1"/>
        <v>36919.937119675458</v>
      </c>
      <c r="H28" s="18">
        <f>SUM(H6:H26)</f>
        <v>395</v>
      </c>
      <c r="I28" s="18">
        <f>SUM(I6:I26)</f>
        <v>52000</v>
      </c>
      <c r="J28" s="18">
        <f>G28+I28/H28</f>
        <v>37051.582689295712</v>
      </c>
      <c r="K28" s="19">
        <f>G28/D28*100-100</f>
        <v>4.3280797392242221E-4</v>
      </c>
      <c r="L28" s="20">
        <f>SUM(L6:L27)</f>
        <v>15</v>
      </c>
      <c r="O28" s="2"/>
    </row>
    <row r="30" spans="1:15" x14ac:dyDescent="0.25">
      <c r="A30" s="22" t="s">
        <v>36</v>
      </c>
      <c r="B30" s="22"/>
      <c r="C30" s="22"/>
      <c r="D30" s="22">
        <v>32089</v>
      </c>
      <c r="E30" s="22"/>
      <c r="F30" s="22"/>
      <c r="G30" s="16">
        <v>32110</v>
      </c>
      <c r="H30" s="23"/>
    </row>
  </sheetData>
  <mergeCells count="6">
    <mergeCell ref="A1:L1"/>
    <mergeCell ref="A4:A5"/>
    <mergeCell ref="B4:D4"/>
    <mergeCell ref="E4:J4"/>
    <mergeCell ref="K4:K5"/>
    <mergeCell ref="L4:L5"/>
  </mergeCells>
  <pageMargins left="0.19685039370078741" right="0.19685039370078741" top="0.35433070866141736" bottom="0.19685039370078741" header="0.31496062992125984" footer="0.31496062992125984"/>
  <pageSetup paperSize="9" scale="75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25C0"/>
  </sheetPr>
  <dimension ref="A1:G14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30" sqref="C30"/>
    </sheetView>
  </sheetViews>
  <sheetFormatPr defaultColWidth="31.42578125" defaultRowHeight="15" x14ac:dyDescent="0.25"/>
  <cols>
    <col min="1" max="1" width="45.85546875" customWidth="1"/>
    <col min="2" max="2" width="17.42578125" customWidth="1"/>
    <col min="3" max="3" width="16.85546875" customWidth="1"/>
    <col min="4" max="4" width="15.140625" customWidth="1"/>
    <col min="5" max="5" width="16.28515625" customWidth="1"/>
    <col min="6" max="6" width="16.7109375" customWidth="1"/>
    <col min="7" max="7" width="15.85546875" customWidth="1"/>
    <col min="8" max="219" width="9.140625" customWidth="1"/>
  </cols>
  <sheetData>
    <row r="1" spans="1:7" ht="41.25" customHeight="1" x14ac:dyDescent="0.3">
      <c r="A1" s="37" t="s">
        <v>51</v>
      </c>
      <c r="B1" s="37"/>
      <c r="C1" s="37"/>
      <c r="D1" s="37"/>
      <c r="E1" s="37"/>
      <c r="F1" s="37"/>
      <c r="G1" s="37"/>
    </row>
    <row r="3" spans="1:7" ht="41.25" customHeight="1" x14ac:dyDescent="0.25">
      <c r="A3" s="39" t="s">
        <v>1</v>
      </c>
      <c r="B3" s="44" t="s">
        <v>2</v>
      </c>
      <c r="C3" s="45"/>
      <c r="D3" s="44" t="s">
        <v>3</v>
      </c>
      <c r="E3" s="45"/>
      <c r="F3" s="46"/>
      <c r="G3" s="40" t="s">
        <v>50</v>
      </c>
    </row>
    <row r="4" spans="1:7" ht="64.5" customHeight="1" x14ac:dyDescent="0.25">
      <c r="A4" s="39"/>
      <c r="B4" s="24" t="s">
        <v>47</v>
      </c>
      <c r="C4" s="36" t="s">
        <v>49</v>
      </c>
      <c r="D4" s="24" t="s">
        <v>48</v>
      </c>
      <c r="E4" s="24" t="s">
        <v>47</v>
      </c>
      <c r="F4" s="36" t="s">
        <v>46</v>
      </c>
      <c r="G4" s="41"/>
    </row>
    <row r="5" spans="1:7" s="2" customFormat="1" ht="22.5" customHeight="1" x14ac:dyDescent="0.3">
      <c r="A5" s="35" t="s">
        <v>45</v>
      </c>
      <c r="B5" s="34">
        <f>76/3</f>
        <v>25.333333333333332</v>
      </c>
      <c r="C5" s="34">
        <v>43833</v>
      </c>
      <c r="D5" s="34">
        <f>1139654-1680</f>
        <v>1137974</v>
      </c>
      <c r="E5" s="34">
        <v>26</v>
      </c>
      <c r="F5" s="34">
        <f t="shared" ref="F5:F14" si="0">D5/E5</f>
        <v>43768.230769230766</v>
      </c>
      <c r="G5" s="33">
        <f t="shared" ref="G5:G14" si="1">F5/C5*100-100</f>
        <v>-0.14776362733381632</v>
      </c>
    </row>
    <row r="6" spans="1:7" s="11" customFormat="1" ht="18.75" x14ac:dyDescent="0.3">
      <c r="A6" s="35" t="s">
        <v>44</v>
      </c>
      <c r="B6" s="34">
        <f>52/3</f>
        <v>17.333333333333332</v>
      </c>
      <c r="C6" s="34">
        <v>36529</v>
      </c>
      <c r="D6" s="34">
        <v>620993</v>
      </c>
      <c r="E6" s="34">
        <v>17</v>
      </c>
      <c r="F6" s="34">
        <f t="shared" si="0"/>
        <v>36529</v>
      </c>
      <c r="G6" s="33">
        <f t="shared" si="1"/>
        <v>0</v>
      </c>
    </row>
    <row r="7" spans="1:7" s="11" customFormat="1" ht="18.75" x14ac:dyDescent="0.3">
      <c r="A7" s="35" t="s">
        <v>43</v>
      </c>
      <c r="B7" s="34">
        <f>81/3</f>
        <v>27</v>
      </c>
      <c r="C7" s="34">
        <v>44334</v>
      </c>
      <c r="D7" s="34">
        <v>1197018</v>
      </c>
      <c r="E7" s="34">
        <v>27</v>
      </c>
      <c r="F7" s="34">
        <f t="shared" si="0"/>
        <v>44334</v>
      </c>
      <c r="G7" s="33">
        <f t="shared" si="1"/>
        <v>0</v>
      </c>
    </row>
    <row r="8" spans="1:7" s="11" customFormat="1" ht="15.75" x14ac:dyDescent="0.25">
      <c r="A8" s="32" t="s">
        <v>42</v>
      </c>
      <c r="B8" s="30">
        <f>42/3</f>
        <v>14</v>
      </c>
      <c r="C8" s="30">
        <v>40373</v>
      </c>
      <c r="D8" s="30">
        <v>565222</v>
      </c>
      <c r="E8" s="30">
        <v>14</v>
      </c>
      <c r="F8" s="30">
        <f t="shared" si="0"/>
        <v>40373</v>
      </c>
      <c r="G8" s="29">
        <f t="shared" si="1"/>
        <v>0</v>
      </c>
    </row>
    <row r="9" spans="1:7" s="11" customFormat="1" ht="15.75" x14ac:dyDescent="0.25">
      <c r="A9" s="32" t="s">
        <v>41</v>
      </c>
      <c r="B9" s="30">
        <f>24/3</f>
        <v>8</v>
      </c>
      <c r="C9" s="30">
        <v>42375</v>
      </c>
      <c r="D9" s="30">
        <v>339000</v>
      </c>
      <c r="E9" s="30">
        <v>8</v>
      </c>
      <c r="F9" s="30">
        <f t="shared" si="0"/>
        <v>42375</v>
      </c>
      <c r="G9" s="29">
        <f t="shared" si="1"/>
        <v>0</v>
      </c>
    </row>
    <row r="10" spans="1:7" s="2" customFormat="1" ht="15.75" x14ac:dyDescent="0.25">
      <c r="A10" s="32" t="s">
        <v>40</v>
      </c>
      <c r="B10" s="30">
        <f>33/3</f>
        <v>11</v>
      </c>
      <c r="C10" s="30">
        <v>43497</v>
      </c>
      <c r="D10" s="30">
        <v>478466</v>
      </c>
      <c r="E10" s="30">
        <v>11</v>
      </c>
      <c r="F10" s="30">
        <f t="shared" si="0"/>
        <v>43496.909090909088</v>
      </c>
      <c r="G10" s="29">
        <f t="shared" si="1"/>
        <v>-2.0900082974151246E-4</v>
      </c>
    </row>
    <row r="11" spans="1:7" s="11" customFormat="1" ht="17.25" customHeight="1" x14ac:dyDescent="0.25">
      <c r="A11" s="31" t="s">
        <v>39</v>
      </c>
      <c r="B11" s="30">
        <f>81/3</f>
        <v>27</v>
      </c>
      <c r="C11" s="30">
        <v>43413</v>
      </c>
      <c r="D11" s="30">
        <v>1128738</v>
      </c>
      <c r="E11" s="30">
        <v>26</v>
      </c>
      <c r="F11" s="30">
        <f t="shared" si="0"/>
        <v>43413</v>
      </c>
      <c r="G11" s="29">
        <f t="shared" si="1"/>
        <v>0</v>
      </c>
    </row>
    <row r="12" spans="1:7" s="11" customFormat="1" ht="16.5" customHeight="1" x14ac:dyDescent="0.25">
      <c r="A12" s="31" t="s">
        <v>38</v>
      </c>
      <c r="B12" s="30">
        <f>9/3</f>
        <v>3</v>
      </c>
      <c r="C12" s="30">
        <v>38586</v>
      </c>
      <c r="D12" s="30">
        <v>115758</v>
      </c>
      <c r="E12" s="30">
        <v>3</v>
      </c>
      <c r="F12" s="30">
        <f t="shared" si="0"/>
        <v>38586</v>
      </c>
      <c r="G12" s="29">
        <f t="shared" si="1"/>
        <v>0</v>
      </c>
    </row>
    <row r="13" spans="1:7" s="2" customFormat="1" ht="17.25" customHeight="1" x14ac:dyDescent="0.25">
      <c r="A13" s="31" t="s">
        <v>37</v>
      </c>
      <c r="B13" s="30">
        <f>24/3</f>
        <v>8</v>
      </c>
      <c r="C13" s="30">
        <v>37273</v>
      </c>
      <c r="D13" s="30">
        <v>298184</v>
      </c>
      <c r="E13" s="30">
        <v>8</v>
      </c>
      <c r="F13" s="30">
        <f t="shared" si="0"/>
        <v>37273</v>
      </c>
      <c r="G13" s="29">
        <f t="shared" si="1"/>
        <v>0</v>
      </c>
    </row>
    <row r="14" spans="1:7" s="21" customFormat="1" ht="18" customHeight="1" x14ac:dyDescent="0.25">
      <c r="A14" s="28" t="s">
        <v>35</v>
      </c>
      <c r="B14" s="27">
        <f>SUM(B5:B13)</f>
        <v>140.66666666666666</v>
      </c>
      <c r="C14" s="27">
        <f>(B5*C5+B6*C6+B7*C7+B8*C8+B9*C9+B10*C10+B11*C11+B12*C12+B13*C13)/B14</f>
        <v>42009.990521327018</v>
      </c>
      <c r="D14" s="27">
        <f>SUM(D5:D13)</f>
        <v>5881353</v>
      </c>
      <c r="E14" s="27">
        <f>SUM(E5:E13)</f>
        <v>140</v>
      </c>
      <c r="F14" s="27">
        <f t="shared" si="0"/>
        <v>42009.664285714287</v>
      </c>
      <c r="G14" s="26">
        <f t="shared" si="1"/>
        <v>-7.7656673728654368E-4</v>
      </c>
    </row>
  </sheetData>
  <mergeCells count="5">
    <mergeCell ref="A1:G1"/>
    <mergeCell ref="A3:A4"/>
    <mergeCell ref="B3:C3"/>
    <mergeCell ref="D3:F3"/>
    <mergeCell ref="G3:G4"/>
  </mergeCells>
  <pageMargins left="0.25" right="0.15748031496062992" top="1.1811023622047245" bottom="0.19685039370078741" header="0.31496062992125984" footer="0.31496062992125984"/>
  <pageSetup paperSize="9" scale="95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472BB"/>
  </sheetPr>
  <dimension ref="A1:G10"/>
  <sheetViews>
    <sheetView workbookViewId="0">
      <selection activeCell="C25" sqref="C25"/>
    </sheetView>
  </sheetViews>
  <sheetFormatPr defaultColWidth="31.42578125" defaultRowHeight="15" x14ac:dyDescent="0.25"/>
  <cols>
    <col min="1" max="1" width="43" customWidth="1"/>
    <col min="2" max="2" width="16.7109375" customWidth="1"/>
    <col min="3" max="3" width="17.42578125" customWidth="1"/>
    <col min="4" max="4" width="15.85546875" customWidth="1"/>
    <col min="5" max="5" width="16.42578125" customWidth="1"/>
    <col min="6" max="6" width="16.85546875" customWidth="1"/>
    <col min="7" max="7" width="13.140625" customWidth="1"/>
    <col min="8" max="224" width="9.140625" customWidth="1"/>
  </cols>
  <sheetData>
    <row r="1" spans="1:7" ht="24.75" customHeight="1" x14ac:dyDescent="0.3">
      <c r="A1" s="51" t="s">
        <v>58</v>
      </c>
      <c r="B1" s="51"/>
      <c r="C1" s="51"/>
      <c r="D1" s="51"/>
      <c r="E1" s="51"/>
      <c r="F1" s="51"/>
      <c r="G1" s="51"/>
    </row>
    <row r="3" spans="1:7" ht="38.25" customHeight="1" x14ac:dyDescent="0.25">
      <c r="A3" s="39" t="s">
        <v>1</v>
      </c>
      <c r="B3" s="44" t="s">
        <v>2</v>
      </c>
      <c r="C3" s="45"/>
      <c r="D3" s="44" t="s">
        <v>3</v>
      </c>
      <c r="E3" s="45"/>
      <c r="F3" s="46"/>
      <c r="G3" s="39" t="s">
        <v>50</v>
      </c>
    </row>
    <row r="4" spans="1:7" ht="47.25" customHeight="1" x14ac:dyDescent="0.25">
      <c r="A4" s="39"/>
      <c r="B4" s="25" t="s">
        <v>47</v>
      </c>
      <c r="C4" s="36" t="s">
        <v>57</v>
      </c>
      <c r="D4" s="25" t="s">
        <v>48</v>
      </c>
      <c r="E4" s="25" t="s">
        <v>47</v>
      </c>
      <c r="F4" s="36" t="s">
        <v>46</v>
      </c>
      <c r="G4" s="39"/>
    </row>
    <row r="5" spans="1:7" s="2" customFormat="1" ht="20.25" customHeight="1" x14ac:dyDescent="0.25">
      <c r="A5" s="5" t="s">
        <v>56</v>
      </c>
      <c r="B5" s="30">
        <f>28/3</f>
        <v>9.3333333333333339</v>
      </c>
      <c r="C5" s="30">
        <v>29815</v>
      </c>
      <c r="D5" s="30">
        <v>268335</v>
      </c>
      <c r="E5" s="30">
        <v>9</v>
      </c>
      <c r="F5" s="30">
        <f>D5/E5</f>
        <v>29815</v>
      </c>
      <c r="G5" s="29">
        <f>F5/C5*100-100</f>
        <v>0</v>
      </c>
    </row>
    <row r="6" spans="1:7" s="11" customFormat="1" ht="20.25" customHeight="1" x14ac:dyDescent="0.25">
      <c r="A6" s="9" t="s">
        <v>55</v>
      </c>
      <c r="B6" s="30">
        <f>42/3</f>
        <v>14</v>
      </c>
      <c r="C6" s="30">
        <v>29214</v>
      </c>
      <c r="D6" s="30">
        <v>438210</v>
      </c>
      <c r="E6" s="30">
        <v>15</v>
      </c>
      <c r="F6" s="30">
        <f>D6/E6</f>
        <v>29214</v>
      </c>
      <c r="G6" s="29">
        <f>F6/C6*100-100</f>
        <v>0</v>
      </c>
    </row>
    <row r="7" spans="1:7" s="11" customFormat="1" ht="20.25" customHeight="1" x14ac:dyDescent="0.25">
      <c r="A7" s="9" t="s">
        <v>54</v>
      </c>
      <c r="B7" s="30">
        <f>71/3</f>
        <v>23.666666666666668</v>
      </c>
      <c r="C7" s="30">
        <v>40252</v>
      </c>
      <c r="D7" s="30">
        <f>925808+7560</f>
        <v>933368</v>
      </c>
      <c r="E7" s="30">
        <v>23</v>
      </c>
      <c r="F7" s="30">
        <f>D7/E7</f>
        <v>40581.217391304344</v>
      </c>
      <c r="G7" s="29">
        <f>F7/C7*100-100</f>
        <v>0.81789076643232761</v>
      </c>
    </row>
    <row r="8" spans="1:7" s="11" customFormat="1" ht="20.25" customHeight="1" x14ac:dyDescent="0.25">
      <c r="A8" s="9" t="s">
        <v>53</v>
      </c>
      <c r="B8" s="30">
        <f>33/3</f>
        <v>11</v>
      </c>
      <c r="C8" s="30">
        <v>45332</v>
      </c>
      <c r="D8" s="30">
        <v>498652</v>
      </c>
      <c r="E8" s="30">
        <v>11</v>
      </c>
      <c r="F8" s="30">
        <f>D8/E8</f>
        <v>45332</v>
      </c>
      <c r="G8" s="29">
        <f>F8/C8*100-100</f>
        <v>0</v>
      </c>
    </row>
    <row r="9" spans="1:7" s="11" customFormat="1" ht="20.25" customHeight="1" x14ac:dyDescent="0.25">
      <c r="A9" s="50" t="s">
        <v>52</v>
      </c>
      <c r="B9" s="30">
        <f>42/3</f>
        <v>14</v>
      </c>
      <c r="C9" s="30">
        <v>30770</v>
      </c>
      <c r="D9" s="30">
        <v>430779</v>
      </c>
      <c r="E9" s="30">
        <v>14</v>
      </c>
      <c r="F9" s="30">
        <f>D9/E9</f>
        <v>30769.928571428572</v>
      </c>
      <c r="G9" s="29">
        <f>F9/C9*100-100</f>
        <v>-2.3213705371460946E-4</v>
      </c>
    </row>
    <row r="10" spans="1:7" s="21" customFormat="1" ht="18" customHeight="1" x14ac:dyDescent="0.25">
      <c r="A10" s="17" t="s">
        <v>35</v>
      </c>
      <c r="B10" s="49">
        <f>SUM(B5:B9)</f>
        <v>72</v>
      </c>
      <c r="C10" s="48">
        <f>(B5*C5+B6*C6+B7*C7+B8*C8+B9*C9)/B10</f>
        <v>35685.166666666664</v>
      </c>
      <c r="D10" s="49">
        <f>SUM(D5:D9)</f>
        <v>2569344</v>
      </c>
      <c r="E10" s="49">
        <f>SUM(E5:E9)</f>
        <v>72</v>
      </c>
      <c r="F10" s="48">
        <f>D10/E10</f>
        <v>35685.333333333336</v>
      </c>
      <c r="G10" s="47">
        <f>F10/C10*100-100</f>
        <v>4.6704746605996661E-4</v>
      </c>
    </row>
  </sheetData>
  <mergeCells count="5">
    <mergeCell ref="A1:G1"/>
    <mergeCell ref="A3:A4"/>
    <mergeCell ref="B3:C3"/>
    <mergeCell ref="D3:F3"/>
    <mergeCell ref="G3:G4"/>
  </mergeCells>
  <pageMargins left="0.78740157480314965" right="0.15748031496062992" top="1.1811023622047245" bottom="0.19685039370078741" header="0.31496062992125984" footer="0.31496062992125984"/>
  <pageSetup paperSize="9" scale="90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школы апрель 2013 г.</vt:lpstr>
      <vt:lpstr>ДОУ апрель 2013</vt:lpstr>
      <vt:lpstr>доп. апрель 2013 </vt:lpstr>
      <vt:lpstr>'доп. апрель 2013 '!Заголовки_для_печати</vt:lpstr>
      <vt:lpstr>'ДОУ апрель 2013'!Заголовки_для_печати</vt:lpstr>
      <vt:lpstr>'школы апрель 2013 г.'!Заголовки_для_печати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Г. Секисова</dc:creator>
  <cp:lastModifiedBy>Юрий В. Арефьев</cp:lastModifiedBy>
  <dcterms:created xsi:type="dcterms:W3CDTF">2013-05-20T03:33:18Z</dcterms:created>
  <dcterms:modified xsi:type="dcterms:W3CDTF">2013-05-20T03:49:43Z</dcterms:modified>
</cp:coreProperties>
</file>